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U:\@air_permitting_documents\Forms\2019_forms_and_fees\"/>
    </mc:Choice>
  </mc:AlternateContent>
  <bookViews>
    <workbookView xWindow="0" yWindow="0" windowWidth="25200" windowHeight="11325"/>
  </bookViews>
  <sheets>
    <sheet name="Engines" sheetId="3" r:id="rId1"/>
  </sheets>
  <definedNames>
    <definedName name="_xlnm.Print_Area" localSheetId="0">Engines!$A$1:$O$53</definedName>
    <definedName name="Print_Area_MI">#REF!</definedName>
  </definedNames>
  <calcPr calcId="162913"/>
</workbook>
</file>

<file path=xl/calcChain.xml><?xml version="1.0" encoding="utf-8"?>
<calcChain xmlns="http://schemas.openxmlformats.org/spreadsheetml/2006/main">
  <c r="K40" i="3" l="1"/>
  <c r="C40" i="3"/>
  <c r="D40" i="3"/>
  <c r="E40" i="3"/>
  <c r="I22" i="3"/>
  <c r="F12" i="3"/>
  <c r="A12" i="3"/>
  <c r="F14" i="3"/>
  <c r="A14" i="3"/>
  <c r="K39" i="3"/>
  <c r="C39" i="3"/>
  <c r="D39" i="3"/>
  <c r="E39" i="3"/>
  <c r="K38" i="3"/>
  <c r="C38" i="3"/>
  <c r="D38" i="3"/>
  <c r="E38" i="3"/>
  <c r="C37" i="3"/>
  <c r="I36" i="3"/>
  <c r="K36" i="3"/>
  <c r="K30" i="3"/>
  <c r="I30" i="3"/>
  <c r="M30" i="3"/>
  <c r="M29" i="3"/>
  <c r="I29" i="3"/>
  <c r="B29" i="3"/>
  <c r="C29" i="3"/>
  <c r="D29" i="3"/>
  <c r="F29" i="3"/>
  <c r="M28" i="3"/>
  <c r="I28" i="3"/>
  <c r="B28" i="3"/>
  <c r="C28" i="3"/>
  <c r="M27" i="3"/>
  <c r="I27" i="3"/>
  <c r="B27" i="3"/>
  <c r="C27" i="3"/>
  <c r="D27" i="3"/>
  <c r="K26" i="3"/>
  <c r="I26" i="3"/>
  <c r="K25" i="3"/>
  <c r="I25" i="3"/>
  <c r="M25" i="3"/>
  <c r="M24" i="3"/>
  <c r="I24" i="3"/>
  <c r="B24" i="3"/>
  <c r="C24" i="3"/>
  <c r="D24" i="3"/>
  <c r="F24" i="3"/>
  <c r="B23" i="3"/>
  <c r="K22" i="3"/>
  <c r="M22" i="3"/>
  <c r="D28" i="3"/>
  <c r="F28" i="3"/>
  <c r="G28" i="3"/>
  <c r="G29" i="3"/>
  <c r="G24" i="3"/>
  <c r="B25" i="3"/>
  <c r="C25" i="3"/>
  <c r="B26" i="3"/>
  <c r="C26" i="3"/>
  <c r="B30" i="3"/>
  <c r="C30" i="3"/>
  <c r="F27" i="3"/>
  <c r="G27" i="3"/>
  <c r="F30" i="3"/>
  <c r="G30" i="3"/>
  <c r="D30" i="3"/>
  <c r="F26" i="3"/>
  <c r="G26" i="3"/>
  <c r="D26" i="3"/>
  <c r="F25" i="3"/>
  <c r="G25" i="3"/>
  <c r="D25" i="3"/>
</calcChain>
</file>

<file path=xl/sharedStrings.xml><?xml version="1.0" encoding="utf-8"?>
<sst xmlns="http://schemas.openxmlformats.org/spreadsheetml/2006/main" count="118" uniqueCount="78">
  <si>
    <t>Lb/hr</t>
  </si>
  <si>
    <t>Ton/yr</t>
  </si>
  <si>
    <t>lbs/10E6 Btu</t>
  </si>
  <si>
    <t>formaldehyde</t>
  </si>
  <si>
    <t>lbs/hp-hr</t>
  </si>
  <si>
    <t>POM</t>
  </si>
  <si>
    <t>Total HAPs</t>
  </si>
  <si>
    <t>Annual Factors from AP-42(5th ed.) Large Bore Diesel engines, Section 3.4</t>
  </si>
  <si>
    <t>DISCLAIMER:</t>
  </si>
  <si>
    <t>DEQ does not guarantee the accuracy of the information contained herein. It is your responsibility to be aware of the most current information available. This is a draft spreadsheet and is continually being revised and updated. DEQ is not responsible for errors or omissions that may be contained herein.</t>
  </si>
  <si>
    <t>DEQ Valley Regional Office</t>
  </si>
  <si>
    <t>4411 Early Road (Mail: P.O. Box 3000)</t>
  </si>
  <si>
    <t>Harrisonburg, VA 22801</t>
  </si>
  <si>
    <t>Phone:  (540)-574-7820</t>
  </si>
  <si>
    <t>FAX:  (540) 574-7878</t>
  </si>
  <si>
    <t>E-Mail: Jeremy.Funkhouser@deq.virginia.gov</t>
  </si>
  <si>
    <t xml:space="preserve">PLANT REGISTRATION #:  </t>
  </si>
  <si>
    <t xml:space="preserve">PLANT NAME:  </t>
  </si>
  <si>
    <t xml:space="preserve">PLANT STREET ADDRESS:  </t>
  </si>
  <si>
    <t xml:space="preserve">COUNTY/CITY:  </t>
  </si>
  <si>
    <t xml:space="preserve">ZIPCODE:  </t>
  </si>
  <si>
    <t xml:space="preserve">COMPLETED BY:  </t>
  </si>
  <si>
    <t xml:space="preserve">DATE:  </t>
  </si>
  <si>
    <t xml:space="preserve">COMMENTS:  </t>
  </si>
  <si>
    <t>Notes to users:</t>
  </si>
  <si>
    <t>Diesel generator</t>
  </si>
  <si>
    <t>Cells with yellow background and blue numbers are required to be completed by the user. 
This spreadsheet will accept either fuel consumption (gallons) or operating schedule (hours). Cells with light blue background and red numbers are the expected annual emissions (tons/yr). 
The emission factors may be changed by the user to represent actual engine emissions. If vendor supplied factors are used, attach a copy to the spreadsheet. 
Average fuel sulfur conent: 0.3%-0.5% for #2 oil, over-the-road diesel 0.0015%.
Diesel engines may be subject to federal standards.</t>
  </si>
  <si>
    <t>Max. rated engine capacity (horsepower)</t>
  </si>
  <si>
    <t xml:space="preserve">Gal. fuel (1) or hours/year (2) </t>
  </si>
  <si>
    <t>Max. expected hourly consump. (gal/hr)</t>
  </si>
  <si>
    <t>Est. gal/hr</t>
  </si>
  <si>
    <t>Max. expected annual consump. (gal/yr)</t>
  </si>
  <si>
    <t>Max. expected annual operation (hrs/yr)</t>
  </si>
  <si>
    <t>hrs/yr</t>
  </si>
  <si>
    <t>Fuel Sulfur Content (%)</t>
  </si>
  <si>
    <t xml:space="preserve">  UNCONTROLLED  8760 HR/YR</t>
  </si>
  <si>
    <t xml:space="preserve">  CONTROLLED  ACTUAL</t>
  </si>
  <si>
    <t xml:space="preserve">  CRITERIA EMISSION FACTORS</t>
  </si>
  <si>
    <t>Activity</t>
  </si>
  <si>
    <t xml:space="preserve">Diesel-Electric </t>
  </si>
  <si>
    <t>Diesel-Gal/(hr&amp;yr)</t>
  </si>
  <si>
    <t>Diesel-hours</t>
  </si>
  <si>
    <t>Generator</t>
  </si>
  <si>
    <t>EIS SCC 20200401</t>
  </si>
  <si>
    <t>SCC 20200401</t>
  </si>
  <si>
    <t>8760 hr/yr</t>
  </si>
  <si>
    <t>Note 1</t>
  </si>
  <si>
    <t>Note 2</t>
  </si>
  <si>
    <t>Btus/gal</t>
  </si>
  <si>
    <t>Pollutant</t>
  </si>
  <si>
    <t>(lb/hr)</t>
  </si>
  <si>
    <t>(ton/yr)</t>
  </si>
  <si>
    <t>(%)</t>
  </si>
  <si>
    <t>(lb/1000 gal)</t>
  </si>
  <si>
    <t>(lb/hp-hr)</t>
  </si>
  <si>
    <t>lb/MMBtu</t>
  </si>
  <si>
    <t>lb/1000 gal</t>
  </si>
  <si>
    <t>lb/hp-hr</t>
  </si>
  <si>
    <t>PM-10</t>
  </si>
  <si>
    <t>PM-2.5</t>
  </si>
  <si>
    <t>SOx</t>
  </si>
  <si>
    <t>%S lbs/1000 gal</t>
  </si>
  <si>
    <t>%S lb/hp-hr</t>
  </si>
  <si>
    <t>NOx</t>
  </si>
  <si>
    <t>CO</t>
  </si>
  <si>
    <t>VOC</t>
  </si>
  <si>
    <t>Note 1:  most diesel engines do not have add on controls for emissions control</t>
  </si>
  <si>
    <t>Note 2:  red shaded number represent actual annual emissons</t>
  </si>
  <si>
    <t xml:space="preserve">  HAPS EMISSION FACTORS</t>
  </si>
  <si>
    <t xml:space="preserve">  HAZARDOUS AIR POLLUTANT (HAP) EMISSIONS CALCULATIONS</t>
  </si>
  <si>
    <t>Em. Fact.</t>
  </si>
  <si>
    <t>Hourly</t>
  </si>
  <si>
    <t>Annual</t>
  </si>
  <si>
    <t>PM</t>
  </si>
  <si>
    <t xml:space="preserve">COMPANY NAME:  </t>
  </si>
  <si>
    <t>Attn: Jeremy Funkhouser</t>
  </si>
  <si>
    <t>Address all comments to:</t>
  </si>
  <si>
    <t>VIRGINIA DEPARTMENT OF ENVIRONMENTAL QUALITY
STATIONARY DIESEL ENGINE EMISSION CALCULATION SPREADSHEET
September 2018
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</si>
</sst>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_)"/>
    <numFmt numFmtId="173" formatCode="0.0_)"/>
    <numFmt numFmtId="174" formatCode="0_)"/>
    <numFmt numFmtId="175" formatCode=";;;"/>
    <numFmt numFmtId="176" formatCode="0.00_)"/>
    <numFmt numFmtId="177" formatCode="0.00E+00_)"/>
    <numFmt numFmtId="178" formatCode="0.0E+00_)"/>
  </numFmts>
  <fonts count="9" x14ac:knownFonts="1">
    <font>
      <sz val="12"/>
      <name val="Helv"/>
    </font>
    <font>
      <sz val="12"/>
      <name val="Arial"/>
      <family val="2"/>
    </font>
    <font>
      <sz val="12"/>
      <color indexed="12"/>
      <name val="Arial"/>
      <family val="2"/>
    </font>
    <font>
      <u/>
      <sz val="12"/>
      <name val="Arial"/>
      <family val="2"/>
    </font>
    <font>
      <b/>
      <sz val="12"/>
      <name val="Arial"/>
      <family val="2"/>
    </font>
    <font>
      <sz val="11"/>
      <name val="Arial"/>
      <family val="2"/>
    </font>
    <font>
      <sz val="12"/>
      <color indexed="10"/>
      <name val="Arial"/>
      <family val="2"/>
    </font>
    <font>
      <b/>
      <sz val="12"/>
      <color indexed="10"/>
      <name val="Arial"/>
      <family val="2"/>
    </font>
    <font>
      <sz val="10"/>
      <name val="Arial"/>
      <family val="2"/>
    </font>
  </fonts>
  <fills count="4">
    <fill>
      <patternFill patternType="none"/>
    </fill>
    <fill>
      <patternFill patternType="gray125"/>
    </fill>
    <fill>
      <patternFill patternType="solid">
        <fgColor indexed="26"/>
        <bgColor indexed="26"/>
      </patternFill>
    </fill>
    <fill>
      <patternFill patternType="solid">
        <fgColor indexed="42"/>
        <bgColor indexed="42"/>
      </patternFill>
    </fill>
  </fills>
  <borders count="2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right style="double">
        <color indexed="8"/>
      </right>
      <top/>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style="thin">
        <color theme="1"/>
      </left>
      <right style="thin">
        <color theme="1"/>
      </right>
      <top style="thin">
        <color theme="1"/>
      </top>
      <bottom style="thin">
        <color theme="1"/>
      </bottom>
      <diagonal/>
    </border>
  </borders>
  <cellStyleXfs count="2">
    <xf numFmtId="0" fontId="0" fillId="0" borderId="0"/>
    <xf numFmtId="0" fontId="1" fillId="0" borderId="0"/>
  </cellStyleXfs>
  <cellXfs count="83">
    <xf numFmtId="0" fontId="0" fillId="0" borderId="0" xfId="0"/>
    <xf numFmtId="0" fontId="1" fillId="0" borderId="0" xfId="1" applyFont="1" applyAlignment="1" applyProtection="1">
      <alignment vertical="center"/>
    </xf>
    <xf numFmtId="0" fontId="1" fillId="0" borderId="0" xfId="1" applyFont="1" applyAlignment="1">
      <alignment vertical="center"/>
    </xf>
    <xf numFmtId="0" fontId="1" fillId="0" borderId="24" xfId="1" applyFont="1" applyBorder="1" applyAlignment="1" applyProtection="1">
      <alignment horizontal="right" vertical="center"/>
    </xf>
    <xf numFmtId="0" fontId="2" fillId="2" borderId="24" xfId="1" applyFont="1" applyFill="1" applyBorder="1" applyAlignment="1" applyProtection="1">
      <alignment vertical="center"/>
      <protection locked="0"/>
    </xf>
    <xf numFmtId="0" fontId="4" fillId="0" borderId="0" xfId="1" applyFont="1" applyAlignment="1" applyProtection="1">
      <alignment vertical="center"/>
    </xf>
    <xf numFmtId="0" fontId="2" fillId="2" borderId="2" xfId="1" applyFont="1" applyFill="1" applyBorder="1" applyAlignment="1" applyProtection="1">
      <alignment vertical="center"/>
      <protection locked="0"/>
    </xf>
    <xf numFmtId="0" fontId="1" fillId="0" borderId="3" xfId="1" applyFont="1" applyBorder="1" applyAlignment="1" applyProtection="1">
      <alignment horizontal="centerContinuous" vertical="center"/>
    </xf>
    <xf numFmtId="0" fontId="1" fillId="0" borderId="4" xfId="1" applyFont="1" applyBorder="1" applyAlignment="1" applyProtection="1">
      <alignment horizontal="centerContinuous" vertical="center"/>
    </xf>
    <xf numFmtId="0" fontId="2" fillId="2" borderId="5" xfId="1" applyFont="1" applyFill="1" applyBorder="1" applyAlignment="1" applyProtection="1">
      <alignment vertical="center"/>
      <protection locked="0"/>
    </xf>
    <xf numFmtId="0" fontId="1" fillId="0" borderId="6" xfId="1" applyFont="1" applyBorder="1" applyAlignment="1" applyProtection="1">
      <alignment vertical="center"/>
    </xf>
    <xf numFmtId="173" fontId="2" fillId="2" borderId="5" xfId="1" applyNumberFormat="1" applyFont="1" applyFill="1" applyBorder="1" applyAlignment="1" applyProtection="1">
      <alignment vertical="center"/>
      <protection locked="0"/>
    </xf>
    <xf numFmtId="173" fontId="1" fillId="0" borderId="0" xfId="1" applyNumberFormat="1" applyFont="1" applyAlignment="1" applyProtection="1">
      <alignment vertical="center"/>
    </xf>
    <xf numFmtId="174" fontId="2" fillId="2" borderId="5" xfId="1" applyNumberFormat="1" applyFont="1" applyFill="1" applyBorder="1" applyAlignment="1" applyProtection="1">
      <alignment vertical="center"/>
      <protection locked="0"/>
    </xf>
    <xf numFmtId="174" fontId="1" fillId="0" borderId="0" xfId="1" applyNumberFormat="1" applyFont="1" applyAlignment="1" applyProtection="1">
      <alignment vertical="center"/>
    </xf>
    <xf numFmtId="0" fontId="1" fillId="0" borderId="6" xfId="1" applyFont="1" applyBorder="1" applyAlignment="1" applyProtection="1">
      <alignment horizontal="centerContinuous" vertical="center"/>
    </xf>
    <xf numFmtId="0" fontId="2" fillId="2" borderId="7" xfId="1" applyFont="1" applyFill="1" applyBorder="1" applyAlignment="1" applyProtection="1">
      <alignment vertical="center"/>
      <protection locked="0"/>
    </xf>
    <xf numFmtId="0" fontId="1" fillId="0" borderId="8" xfId="1" applyFont="1" applyBorder="1" applyAlignment="1" applyProtection="1">
      <alignment vertical="center"/>
    </xf>
    <xf numFmtId="0" fontId="1" fillId="0" borderId="9" xfId="1" applyFont="1" applyBorder="1" applyAlignment="1" applyProtection="1">
      <alignment vertical="center"/>
    </xf>
    <xf numFmtId="0" fontId="1" fillId="0" borderId="10" xfId="1" applyFont="1" applyBorder="1" applyAlignment="1" applyProtection="1">
      <alignment horizontal="right" vertical="center"/>
    </xf>
    <xf numFmtId="0" fontId="1" fillId="0" borderId="2" xfId="1" applyFont="1" applyBorder="1" applyAlignment="1" applyProtection="1">
      <alignment horizontal="centerContinuous" vertical="center"/>
    </xf>
    <xf numFmtId="175" fontId="1" fillId="0" borderId="0" xfId="1" applyNumberFormat="1" applyFont="1" applyAlignment="1" applyProtection="1">
      <alignment horizontal="centerContinuous" vertical="center"/>
    </xf>
    <xf numFmtId="0" fontId="1" fillId="0" borderId="11" xfId="1" applyFont="1" applyBorder="1" applyAlignment="1" applyProtection="1">
      <alignment vertical="center"/>
    </xf>
    <xf numFmtId="0" fontId="1" fillId="0" borderId="0" xfId="1" applyFont="1" applyAlignment="1" applyProtection="1">
      <alignment horizontal="centerContinuous" vertical="center"/>
    </xf>
    <xf numFmtId="0" fontId="1" fillId="0" borderId="5" xfId="1" applyFont="1" applyBorder="1" applyAlignment="1" applyProtection="1">
      <alignment horizontal="centerContinuous" vertical="center"/>
    </xf>
    <xf numFmtId="0" fontId="1" fillId="0" borderId="5" xfId="1" applyFont="1" applyBorder="1" applyAlignment="1" applyProtection="1">
      <alignment vertical="center"/>
    </xf>
    <xf numFmtId="175" fontId="1" fillId="0" borderId="0" xfId="1" applyNumberFormat="1" applyFont="1" applyAlignment="1" applyProtection="1">
      <alignment vertical="center"/>
    </xf>
    <xf numFmtId="0" fontId="1" fillId="0" borderId="6" xfId="1" applyFont="1" applyBorder="1" applyAlignment="1" applyProtection="1">
      <alignment horizontal="center" vertical="center"/>
    </xf>
    <xf numFmtId="0" fontId="2" fillId="2" borderId="0" xfId="1" applyFont="1" applyFill="1" applyAlignment="1" applyProtection="1">
      <alignment horizontal="center" vertical="center"/>
    </xf>
    <xf numFmtId="0" fontId="6" fillId="3" borderId="6" xfId="1" applyFont="1" applyFill="1" applyBorder="1" applyAlignment="1" applyProtection="1">
      <alignment horizontal="center" vertical="center"/>
    </xf>
    <xf numFmtId="37" fontId="1" fillId="0" borderId="5" xfId="1" applyNumberFormat="1" applyFont="1" applyBorder="1" applyAlignment="1" applyProtection="1">
      <alignment vertical="center"/>
    </xf>
    <xf numFmtId="0" fontId="1" fillId="0" borderId="12" xfId="1" applyFont="1" applyBorder="1" applyAlignment="1" applyProtection="1">
      <alignment vertical="center"/>
    </xf>
    <xf numFmtId="176" fontId="1" fillId="0" borderId="8" xfId="1" applyNumberFormat="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9" xfId="1" applyFont="1" applyBorder="1" applyAlignment="1" applyProtection="1">
      <alignment horizontal="center" vertical="center"/>
    </xf>
    <xf numFmtId="0" fontId="1" fillId="0" borderId="9" xfId="1" applyFont="1" applyBorder="1" applyAlignment="1">
      <alignment horizontal="center" vertical="center"/>
    </xf>
    <xf numFmtId="176" fontId="1" fillId="0" borderId="9" xfId="1" applyNumberFormat="1" applyFont="1" applyBorder="1" applyAlignment="1" applyProtection="1">
      <alignment horizontal="center" vertical="center"/>
    </xf>
    <xf numFmtId="173" fontId="1" fillId="0" borderId="9" xfId="1" applyNumberFormat="1" applyFont="1" applyBorder="1" applyAlignment="1" applyProtection="1">
      <alignment horizontal="center" vertical="center"/>
    </xf>
    <xf numFmtId="0" fontId="2" fillId="2" borderId="9" xfId="1" applyFont="1" applyFill="1" applyBorder="1" applyAlignment="1" applyProtection="1">
      <alignment horizontal="center" vertical="center"/>
      <protection locked="0"/>
    </xf>
    <xf numFmtId="173" fontId="7" fillId="3" borderId="9" xfId="1" applyNumberFormat="1" applyFont="1" applyFill="1" applyBorder="1" applyAlignment="1" applyProtection="1">
      <alignment horizontal="center" vertical="center"/>
    </xf>
    <xf numFmtId="173" fontId="1" fillId="0" borderId="2" xfId="1" applyNumberFormat="1" applyFont="1" applyBorder="1" applyAlignment="1" applyProtection="1">
      <alignment vertical="center"/>
    </xf>
    <xf numFmtId="0" fontId="1" fillId="0" borderId="3" xfId="1" applyFont="1" applyBorder="1" applyAlignment="1" applyProtection="1">
      <alignment vertical="center"/>
    </xf>
    <xf numFmtId="0" fontId="1" fillId="0" borderId="2" xfId="1" applyFont="1" applyBorder="1" applyAlignment="1" applyProtection="1">
      <alignment vertical="center"/>
    </xf>
    <xf numFmtId="0" fontId="1" fillId="0" borderId="4" xfId="1" applyFont="1" applyBorder="1" applyAlignment="1" applyProtection="1">
      <alignment vertical="center"/>
    </xf>
    <xf numFmtId="173" fontId="1" fillId="0" borderId="13" xfId="1" applyNumberFormat="1" applyFont="1" applyBorder="1" applyAlignment="1" applyProtection="1">
      <alignment vertical="center"/>
    </xf>
    <xf numFmtId="0" fontId="1" fillId="0" borderId="14" xfId="1" applyFont="1" applyBorder="1" applyAlignment="1" applyProtection="1">
      <alignment vertical="center"/>
    </xf>
    <xf numFmtId="0" fontId="1" fillId="0" borderId="13" xfId="1" applyFont="1" applyBorder="1" applyAlignment="1" applyProtection="1">
      <alignment vertical="center"/>
    </xf>
    <xf numFmtId="0" fontId="1" fillId="0" borderId="15" xfId="1" applyFont="1" applyBorder="1" applyAlignment="1" applyProtection="1">
      <alignment vertical="center"/>
    </xf>
    <xf numFmtId="0" fontId="1" fillId="0" borderId="0" xfId="1" applyFont="1" applyAlignment="1" applyProtection="1">
      <alignment horizontal="center" vertical="center"/>
    </xf>
    <xf numFmtId="0" fontId="1" fillId="0" borderId="7" xfId="1" applyFont="1" applyBorder="1" applyAlignment="1" applyProtection="1">
      <alignment vertical="center"/>
    </xf>
    <xf numFmtId="176" fontId="1" fillId="0" borderId="8" xfId="1" applyNumberFormat="1" applyFont="1" applyBorder="1" applyAlignment="1" applyProtection="1">
      <alignment vertical="center"/>
    </xf>
    <xf numFmtId="177" fontId="1" fillId="0" borderId="1" xfId="1" applyNumberFormat="1" applyFont="1" applyBorder="1" applyAlignment="1" applyProtection="1">
      <alignment vertical="center"/>
    </xf>
    <xf numFmtId="178" fontId="1" fillId="0" borderId="1" xfId="1" applyNumberFormat="1" applyFont="1" applyBorder="1" applyAlignment="1" applyProtection="1">
      <alignment vertical="center"/>
    </xf>
    <xf numFmtId="178" fontId="7" fillId="3" borderId="1" xfId="1" applyNumberFormat="1" applyFont="1" applyFill="1" applyBorder="1" applyAlignment="1" applyProtection="1">
      <alignment vertical="center"/>
    </xf>
    <xf numFmtId="177" fontId="1" fillId="0" borderId="2" xfId="1" applyNumberFormat="1" applyFont="1" applyBorder="1" applyAlignment="1" applyProtection="1">
      <alignment vertical="center"/>
    </xf>
    <xf numFmtId="177" fontId="1" fillId="0" borderId="0" xfId="1" applyNumberFormat="1" applyFont="1" applyAlignment="1" applyProtection="1">
      <alignment vertical="center"/>
    </xf>
    <xf numFmtId="177" fontId="1" fillId="0" borderId="5" xfId="1" applyNumberFormat="1" applyFont="1" applyBorder="1" applyAlignment="1" applyProtection="1">
      <alignment vertical="center"/>
    </xf>
    <xf numFmtId="177" fontId="1" fillId="0" borderId="7" xfId="1" applyNumberFormat="1" applyFont="1" applyBorder="1" applyAlignment="1" applyProtection="1">
      <alignment vertical="center"/>
    </xf>
    <xf numFmtId="164" fontId="1" fillId="0" borderId="0" xfId="1" applyNumberFormat="1" applyFont="1" applyAlignment="1" applyProtection="1">
      <alignment vertical="center"/>
    </xf>
    <xf numFmtId="0" fontId="2" fillId="2" borderId="3" xfId="1" applyFont="1" applyFill="1" applyBorder="1" applyAlignment="1" applyProtection="1">
      <alignment horizontal="left" vertical="center"/>
    </xf>
    <xf numFmtId="0" fontId="6" fillId="3" borderId="0" xfId="1" applyFont="1" applyFill="1" applyAlignment="1" applyProtection="1">
      <alignment horizontal="left" vertical="center"/>
    </xf>
    <xf numFmtId="0" fontId="1" fillId="0" borderId="0" xfId="1" applyFont="1" applyAlignment="1" applyProtection="1">
      <alignment horizontal="left" vertical="center"/>
    </xf>
    <xf numFmtId="0" fontId="1" fillId="0" borderId="0" xfId="1" applyFont="1" applyAlignment="1" applyProtection="1">
      <alignment horizontal="center" vertical="center"/>
    </xf>
    <xf numFmtId="0" fontId="8" fillId="0" borderId="0" xfId="1" applyFont="1" applyAlignment="1">
      <alignment horizontal="center" vertical="center" wrapText="1"/>
    </xf>
    <xf numFmtId="0" fontId="5" fillId="0" borderId="0" xfId="1" applyFont="1" applyAlignment="1" applyProtection="1">
      <alignment horizontal="center" vertical="center" wrapText="1"/>
    </xf>
    <xf numFmtId="0" fontId="1" fillId="0" borderId="3" xfId="1" applyFont="1" applyBorder="1" applyAlignment="1" applyProtection="1">
      <alignment vertical="center"/>
    </xf>
    <xf numFmtId="0" fontId="1" fillId="0" borderId="4" xfId="1" applyFont="1" applyBorder="1" applyAlignment="1" applyProtection="1">
      <alignment vertical="center"/>
    </xf>
    <xf numFmtId="0" fontId="1" fillId="0" borderId="0" xfId="1" applyFont="1" applyAlignment="1" applyProtection="1">
      <alignment vertical="center"/>
    </xf>
    <xf numFmtId="0" fontId="1" fillId="0" borderId="6" xfId="1" applyFont="1" applyBorder="1" applyAlignment="1" applyProtection="1">
      <alignment vertical="center"/>
    </xf>
    <xf numFmtId="0" fontId="1" fillId="0" borderId="8" xfId="1" applyFont="1" applyBorder="1" applyAlignment="1" applyProtection="1">
      <alignment vertical="center"/>
    </xf>
    <xf numFmtId="0" fontId="1" fillId="0" borderId="9" xfId="1" applyFont="1" applyBorder="1" applyAlignment="1" applyProtection="1">
      <alignment vertical="center"/>
    </xf>
    <xf numFmtId="0" fontId="1" fillId="0" borderId="24" xfId="1" applyFont="1" applyBorder="1" applyAlignment="1" applyProtection="1">
      <alignment horizontal="center" vertical="center"/>
    </xf>
    <xf numFmtId="0" fontId="2" fillId="2" borderId="24" xfId="1" applyFont="1" applyFill="1" applyBorder="1" applyAlignment="1" applyProtection="1">
      <alignment vertical="center"/>
      <protection locked="0"/>
    </xf>
    <xf numFmtId="0" fontId="3" fillId="0" borderId="0" xfId="1" applyFont="1" applyAlignment="1" applyProtection="1">
      <alignment horizontal="left" vertical="center"/>
    </xf>
    <xf numFmtId="0" fontId="1" fillId="0" borderId="16" xfId="1" applyFont="1" applyFill="1" applyBorder="1" applyAlignment="1" applyProtection="1">
      <alignment horizontal="center" vertical="center" wrapText="1"/>
    </xf>
    <xf numFmtId="0" fontId="1" fillId="0" borderId="17" xfId="1" applyFont="1" applyFill="1" applyBorder="1" applyAlignment="1" applyProtection="1">
      <alignment horizontal="center" vertical="center" wrapText="1"/>
    </xf>
    <xf numFmtId="0" fontId="1" fillId="0" borderId="18" xfId="1" applyFont="1" applyFill="1" applyBorder="1" applyAlignment="1" applyProtection="1">
      <alignment horizontal="center" vertical="center" wrapText="1"/>
    </xf>
    <xf numFmtId="0" fontId="1" fillId="0" borderId="19"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20" xfId="1" applyFont="1" applyFill="1" applyBorder="1" applyAlignment="1" applyProtection="1">
      <alignment horizontal="center" vertical="center" wrapText="1"/>
    </xf>
    <xf numFmtId="0" fontId="1" fillId="0" borderId="21" xfId="1" applyFont="1" applyFill="1" applyBorder="1" applyAlignment="1" applyProtection="1">
      <alignment horizontal="center" vertical="center" wrapText="1"/>
    </xf>
    <xf numFmtId="0" fontId="1" fillId="0" borderId="22" xfId="1" applyFont="1" applyFill="1" applyBorder="1" applyAlignment="1" applyProtection="1">
      <alignment horizontal="center" vertical="center" wrapText="1"/>
    </xf>
    <xf numFmtId="0" fontId="1" fillId="0" borderId="23" xfId="1" applyFont="1" applyFill="1" applyBorder="1" applyAlignment="1" applyProtection="1">
      <alignment horizontal="center" vertical="center" wrapText="1"/>
    </xf>
  </cellXfs>
  <cellStyles count="2">
    <cellStyle name="Normal" xfId="0" builtinId="0"/>
    <cellStyle name="Normal 2" xfId="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52"/>
  <sheetViews>
    <sheetView showGridLines="0" tabSelected="1" defaultGridColor="0" colorId="30" zoomScale="70" zoomScaleNormal="70" zoomScalePageLayoutView="70" workbookViewId="0">
      <selection activeCell="I8" sqref="I8:O8"/>
    </sheetView>
  </sheetViews>
  <sheetFormatPr defaultColWidth="8.6640625" defaultRowHeight="15" x14ac:dyDescent="0.25"/>
  <cols>
    <col min="1" max="1" width="12.6640625" style="2" customWidth="1"/>
    <col min="2" max="2" width="8.77734375" style="2" bestFit="1" customWidth="1"/>
    <col min="3" max="3" width="10.21875" style="2" customWidth="1"/>
    <col min="4" max="4" width="9.6640625" style="2" customWidth="1"/>
    <col min="5" max="5" width="10.109375" style="2" customWidth="1"/>
    <col min="6" max="6" width="9.44140625" style="2" customWidth="1"/>
    <col min="7" max="7" width="8.77734375" style="2" bestFit="1" customWidth="1"/>
    <col min="8" max="8" width="8.6640625" style="2"/>
    <col min="9" max="9" width="9.109375" style="2" customWidth="1"/>
    <col min="10" max="10" width="14.109375" style="2" customWidth="1"/>
    <col min="11" max="11" width="9.21875" style="2" bestFit="1" customWidth="1"/>
    <col min="12" max="12" width="10.6640625" style="2" customWidth="1"/>
    <col min="13" max="22" width="8.6640625" style="2"/>
    <col min="23" max="23" width="10.6640625" style="2" customWidth="1"/>
    <col min="24" max="24" width="5.6640625" style="2" customWidth="1"/>
    <col min="25" max="25" width="8.6640625" style="2"/>
    <col min="26" max="26" width="10.6640625" style="2" customWidth="1"/>
    <col min="27" max="27" width="5.6640625" style="2" customWidth="1"/>
    <col min="28" max="28" width="8.6640625" style="2"/>
    <col min="29" max="29" width="10.6640625" style="2" customWidth="1"/>
    <col min="30" max="30" width="5.6640625" style="2" customWidth="1"/>
    <col min="31" max="31" width="8.6640625" style="2"/>
    <col min="32" max="32" width="10.6640625" style="2" customWidth="1"/>
    <col min="33" max="33" width="5.6640625" style="2" customWidth="1"/>
    <col min="34" max="34" width="8.6640625" style="2"/>
    <col min="35" max="35" width="10.6640625" style="2" customWidth="1"/>
    <col min="36" max="36" width="5.6640625" style="2" customWidth="1"/>
    <col min="37" max="37" width="8.6640625" style="2"/>
    <col min="38" max="38" width="10.6640625" style="2" customWidth="1"/>
    <col min="39" max="39" width="5.6640625" style="2" customWidth="1"/>
    <col min="40" max="40" width="8.6640625" style="2"/>
    <col min="41" max="41" width="10.6640625" style="2" customWidth="1"/>
    <col min="42" max="42" width="5.6640625" style="2" customWidth="1"/>
    <col min="43" max="43" width="8.6640625" style="2"/>
    <col min="44" max="44" width="9.6640625" style="2" customWidth="1"/>
    <col min="45" max="16384" width="8.6640625" style="2"/>
  </cols>
  <sheetData>
    <row r="1" spans="1:15" ht="15.75" customHeight="1" thickTop="1" x14ac:dyDescent="0.25">
      <c r="A1" s="71" t="s">
        <v>74</v>
      </c>
      <c r="B1" s="71"/>
      <c r="C1" s="72"/>
      <c r="D1" s="72"/>
      <c r="E1" s="72"/>
      <c r="F1" s="72"/>
      <c r="G1" s="72"/>
      <c r="H1" s="1"/>
      <c r="I1" s="74" t="s">
        <v>77</v>
      </c>
      <c r="J1" s="75"/>
      <c r="K1" s="75"/>
      <c r="L1" s="75"/>
      <c r="M1" s="75"/>
      <c r="N1" s="75"/>
      <c r="O1" s="76"/>
    </row>
    <row r="2" spans="1:15" x14ac:dyDescent="0.25">
      <c r="A2" s="71" t="s">
        <v>16</v>
      </c>
      <c r="B2" s="71"/>
      <c r="C2" s="72"/>
      <c r="D2" s="72"/>
      <c r="E2" s="72"/>
      <c r="F2" s="72"/>
      <c r="G2" s="72"/>
      <c r="H2" s="1"/>
      <c r="I2" s="77"/>
      <c r="J2" s="78"/>
      <c r="K2" s="78"/>
      <c r="L2" s="78"/>
      <c r="M2" s="78"/>
      <c r="N2" s="78"/>
      <c r="O2" s="79"/>
    </row>
    <row r="3" spans="1:15" x14ac:dyDescent="0.25">
      <c r="A3" s="71" t="s">
        <v>17</v>
      </c>
      <c r="B3" s="71"/>
      <c r="C3" s="72"/>
      <c r="D3" s="72"/>
      <c r="E3" s="72"/>
      <c r="F3" s="72"/>
      <c r="G3" s="72"/>
      <c r="H3" s="1"/>
      <c r="I3" s="77"/>
      <c r="J3" s="78"/>
      <c r="K3" s="78"/>
      <c r="L3" s="78"/>
      <c r="M3" s="78"/>
      <c r="N3" s="78"/>
      <c r="O3" s="79"/>
    </row>
    <row r="4" spans="1:15" x14ac:dyDescent="0.25">
      <c r="A4" s="71" t="s">
        <v>18</v>
      </c>
      <c r="B4" s="71"/>
      <c r="C4" s="72"/>
      <c r="D4" s="72"/>
      <c r="E4" s="72"/>
      <c r="F4" s="72"/>
      <c r="G4" s="72"/>
      <c r="H4" s="1"/>
      <c r="I4" s="77"/>
      <c r="J4" s="78"/>
      <c r="K4" s="78"/>
      <c r="L4" s="78"/>
      <c r="M4" s="78"/>
      <c r="N4" s="78"/>
      <c r="O4" s="79"/>
    </row>
    <row r="5" spans="1:15" x14ac:dyDescent="0.25">
      <c r="A5" s="71" t="s">
        <v>19</v>
      </c>
      <c r="B5" s="71"/>
      <c r="C5" s="72"/>
      <c r="D5" s="72"/>
      <c r="E5" s="72"/>
      <c r="F5" s="3" t="s">
        <v>20</v>
      </c>
      <c r="G5" s="4"/>
      <c r="H5" s="1"/>
      <c r="I5" s="77"/>
      <c r="J5" s="78"/>
      <c r="K5" s="78"/>
      <c r="L5" s="78"/>
      <c r="M5" s="78"/>
      <c r="N5" s="78"/>
      <c r="O5" s="79"/>
    </row>
    <row r="6" spans="1:15" ht="15.75" thickBot="1" x14ac:dyDescent="0.3">
      <c r="A6" s="71" t="s">
        <v>21</v>
      </c>
      <c r="B6" s="71"/>
      <c r="C6" s="72"/>
      <c r="D6" s="72"/>
      <c r="E6" s="72"/>
      <c r="F6" s="3" t="s">
        <v>22</v>
      </c>
      <c r="G6" s="4"/>
      <c r="H6" s="1"/>
      <c r="I6" s="80"/>
      <c r="J6" s="81"/>
      <c r="K6" s="81"/>
      <c r="L6" s="81"/>
      <c r="M6" s="81"/>
      <c r="N6" s="81"/>
      <c r="O6" s="82"/>
    </row>
    <row r="7" spans="1:15" ht="15.75" thickTop="1" x14ac:dyDescent="0.25">
      <c r="A7" s="71" t="s">
        <v>23</v>
      </c>
      <c r="B7" s="71"/>
      <c r="C7" s="72"/>
      <c r="D7" s="72"/>
      <c r="E7" s="72"/>
      <c r="F7" s="72"/>
      <c r="G7" s="72"/>
    </row>
    <row r="8" spans="1:15" x14ac:dyDescent="0.25">
      <c r="I8" s="73" t="s">
        <v>24</v>
      </c>
      <c r="J8" s="73"/>
      <c r="K8" s="73"/>
      <c r="L8" s="73"/>
      <c r="M8" s="73"/>
      <c r="N8" s="73"/>
      <c r="O8" s="73"/>
    </row>
    <row r="9" spans="1:15" ht="15.75" customHeight="1" x14ac:dyDescent="0.25">
      <c r="A9" s="1"/>
      <c r="B9" s="5" t="s">
        <v>25</v>
      </c>
      <c r="C9" s="1"/>
      <c r="D9" s="1"/>
      <c r="E9" s="1"/>
      <c r="F9" s="1"/>
      <c r="G9" s="1"/>
      <c r="H9" s="1"/>
      <c r="I9" s="64" t="s">
        <v>26</v>
      </c>
      <c r="J9" s="64"/>
      <c r="K9" s="64"/>
      <c r="L9" s="64"/>
      <c r="M9" s="64"/>
      <c r="N9" s="64"/>
      <c r="O9" s="64"/>
    </row>
    <row r="10" spans="1:15" ht="15" customHeight="1" x14ac:dyDescent="0.25">
      <c r="A10" s="6">
        <v>1500</v>
      </c>
      <c r="B10" s="65" t="s">
        <v>27</v>
      </c>
      <c r="C10" s="65"/>
      <c r="D10" s="65"/>
      <c r="E10" s="66"/>
      <c r="F10" s="7"/>
      <c r="G10" s="8"/>
      <c r="H10" s="1"/>
      <c r="I10" s="64"/>
      <c r="J10" s="64"/>
      <c r="K10" s="64"/>
      <c r="L10" s="64"/>
      <c r="M10" s="64"/>
      <c r="N10" s="64"/>
      <c r="O10" s="64"/>
    </row>
    <row r="11" spans="1:15" ht="13.7" customHeight="1" x14ac:dyDescent="0.25">
      <c r="A11" s="9">
        <v>2</v>
      </c>
      <c r="B11" s="67" t="s">
        <v>28</v>
      </c>
      <c r="C11" s="67"/>
      <c r="D11" s="67"/>
      <c r="E11" s="68"/>
      <c r="F11" s="1"/>
      <c r="G11" s="10"/>
      <c r="H11" s="1"/>
      <c r="I11" s="64"/>
      <c r="J11" s="64"/>
      <c r="K11" s="64"/>
      <c r="L11" s="64"/>
      <c r="M11" s="64"/>
      <c r="N11" s="64"/>
      <c r="O11" s="64"/>
    </row>
    <row r="12" spans="1:15" ht="13.7" customHeight="1" x14ac:dyDescent="0.25">
      <c r="A12" s="11">
        <f>F12</f>
        <v>76.625556447493253</v>
      </c>
      <c r="B12" s="67" t="s">
        <v>29</v>
      </c>
      <c r="C12" s="67"/>
      <c r="D12" s="67"/>
      <c r="E12" s="68"/>
      <c r="F12" s="12">
        <f>A10*7000/I22</f>
        <v>76.625556447493253</v>
      </c>
      <c r="G12" s="10" t="s">
        <v>30</v>
      </c>
      <c r="H12" s="1"/>
      <c r="I12" s="64"/>
      <c r="J12" s="64"/>
      <c r="K12" s="64"/>
      <c r="L12" s="64"/>
      <c r="M12" s="64"/>
      <c r="N12" s="64"/>
      <c r="O12" s="64"/>
    </row>
    <row r="13" spans="1:15" ht="13.7" customHeight="1" x14ac:dyDescent="0.25">
      <c r="A13" s="9">
        <v>30000</v>
      </c>
      <c r="B13" s="67" t="s">
        <v>31</v>
      </c>
      <c r="C13" s="67"/>
      <c r="D13" s="67"/>
      <c r="E13" s="68"/>
      <c r="F13" s="1"/>
      <c r="G13" s="10"/>
      <c r="H13" s="1"/>
      <c r="I13" s="64"/>
      <c r="J13" s="64"/>
      <c r="K13" s="64"/>
      <c r="L13" s="64"/>
      <c r="M13" s="64"/>
      <c r="N13" s="64"/>
      <c r="O13" s="64"/>
    </row>
    <row r="14" spans="1:15" x14ac:dyDescent="0.25">
      <c r="A14" s="13">
        <f>F14</f>
        <v>391.51428571428568</v>
      </c>
      <c r="B14" s="67" t="s">
        <v>32</v>
      </c>
      <c r="C14" s="67"/>
      <c r="D14" s="67"/>
      <c r="E14" s="68"/>
      <c r="F14" s="14">
        <f>A13/A12</f>
        <v>391.51428571428568</v>
      </c>
      <c r="G14" s="15" t="s">
        <v>33</v>
      </c>
      <c r="H14" s="1"/>
      <c r="I14" s="64"/>
      <c r="J14" s="64"/>
      <c r="K14" s="64"/>
      <c r="L14" s="64"/>
      <c r="M14" s="64"/>
      <c r="N14" s="64"/>
      <c r="O14" s="64"/>
    </row>
    <row r="15" spans="1:15" x14ac:dyDescent="0.25">
      <c r="A15" s="16">
        <v>0.5</v>
      </c>
      <c r="B15" s="69" t="s">
        <v>34</v>
      </c>
      <c r="C15" s="69"/>
      <c r="D15" s="69"/>
      <c r="E15" s="70"/>
      <c r="F15" s="17"/>
      <c r="G15" s="18"/>
      <c r="H15" s="1"/>
      <c r="I15" s="64"/>
      <c r="J15" s="64"/>
      <c r="K15" s="64"/>
      <c r="L15" s="64"/>
      <c r="M15" s="64"/>
      <c r="N15" s="64"/>
      <c r="O15" s="64"/>
    </row>
    <row r="16" spans="1:15" x14ac:dyDescent="0.25">
      <c r="I16" s="64"/>
      <c r="J16" s="64"/>
      <c r="K16" s="64"/>
      <c r="L16" s="64"/>
      <c r="M16" s="64"/>
      <c r="N16" s="64"/>
      <c r="O16" s="64"/>
    </row>
    <row r="17" spans="1:14" ht="13.7" customHeight="1" x14ac:dyDescent="0.25"/>
    <row r="18" spans="1:14" ht="20.100000000000001" customHeight="1" x14ac:dyDescent="0.25">
      <c r="A18" s="5" t="s">
        <v>35</v>
      </c>
      <c r="B18" s="1"/>
      <c r="C18" s="1"/>
      <c r="D18" s="1"/>
      <c r="E18" s="5" t="s">
        <v>36</v>
      </c>
      <c r="F18" s="1"/>
      <c r="G18" s="1"/>
      <c r="H18" s="1"/>
      <c r="I18" s="5" t="s">
        <v>37</v>
      </c>
    </row>
    <row r="19" spans="1:14" ht="13.7" customHeight="1" x14ac:dyDescent="0.25">
      <c r="A19" s="19" t="s">
        <v>38</v>
      </c>
      <c r="B19" s="7" t="s">
        <v>39</v>
      </c>
      <c r="C19" s="7"/>
      <c r="D19" s="8"/>
      <c r="E19" s="7" t="s">
        <v>39</v>
      </c>
      <c r="F19" s="7"/>
      <c r="G19" s="8"/>
      <c r="H19" s="1"/>
      <c r="I19" s="20" t="s">
        <v>40</v>
      </c>
      <c r="J19" s="7"/>
      <c r="K19" s="20" t="s">
        <v>41</v>
      </c>
      <c r="L19" s="8"/>
      <c r="M19" s="21" t="s">
        <v>41</v>
      </c>
      <c r="N19" s="21"/>
    </row>
    <row r="20" spans="1:14" ht="13.7" customHeight="1" x14ac:dyDescent="0.25">
      <c r="A20" s="22"/>
      <c r="B20" s="23" t="s">
        <v>42</v>
      </c>
      <c r="C20" s="23"/>
      <c r="D20" s="15"/>
      <c r="E20" s="23" t="s">
        <v>42</v>
      </c>
      <c r="F20" s="23"/>
      <c r="G20" s="15"/>
      <c r="H20" s="1"/>
      <c r="I20" s="24" t="s">
        <v>43</v>
      </c>
      <c r="J20" s="23"/>
      <c r="K20" s="24" t="s">
        <v>43</v>
      </c>
      <c r="L20" s="15"/>
      <c r="M20" s="21" t="s">
        <v>43</v>
      </c>
      <c r="N20" s="21"/>
    </row>
    <row r="21" spans="1:14" ht="13.7" customHeight="1" x14ac:dyDescent="0.25">
      <c r="A21" s="22"/>
      <c r="B21" s="23" t="s">
        <v>44</v>
      </c>
      <c r="C21" s="23"/>
      <c r="D21" s="15"/>
      <c r="E21" s="23" t="s">
        <v>44</v>
      </c>
      <c r="F21" s="23"/>
      <c r="G21" s="15"/>
      <c r="H21" s="1"/>
      <c r="I21" s="25"/>
      <c r="J21" s="1"/>
      <c r="K21" s="25"/>
      <c r="L21" s="10"/>
      <c r="M21" s="26"/>
      <c r="N21" s="26"/>
    </row>
    <row r="22" spans="1:14" x14ac:dyDescent="0.25">
      <c r="A22" s="22"/>
      <c r="B22" s="1"/>
      <c r="C22" s="1"/>
      <c r="D22" s="27" t="s">
        <v>45</v>
      </c>
      <c r="E22" s="28" t="s">
        <v>46</v>
      </c>
      <c r="F22" s="1"/>
      <c r="G22" s="29" t="s">
        <v>47</v>
      </c>
      <c r="H22" s="1"/>
      <c r="I22" s="30">
        <f>19300*7.1</f>
        <v>137030</v>
      </c>
      <c r="J22" s="1" t="s">
        <v>48</v>
      </c>
      <c r="K22" s="30">
        <f>I22</f>
        <v>137030</v>
      </c>
      <c r="L22" s="10" t="s">
        <v>48</v>
      </c>
      <c r="M22" s="26">
        <f>K22</f>
        <v>137030</v>
      </c>
      <c r="N22" s="26" t="s">
        <v>48</v>
      </c>
    </row>
    <row r="23" spans="1:14" x14ac:dyDescent="0.25">
      <c r="A23" s="31" t="s">
        <v>49</v>
      </c>
      <c r="B23" s="32" t="str">
        <f>IF($A$11=" "," ",IF($A$11=1,I23,IF($A$11=2,K23,"err")))</f>
        <v>(lb/hp-hr)</v>
      </c>
      <c r="C23" s="33" t="s">
        <v>50</v>
      </c>
      <c r="D23" s="34" t="s">
        <v>51</v>
      </c>
      <c r="E23" s="33" t="s">
        <v>52</v>
      </c>
      <c r="F23" s="33" t="s">
        <v>50</v>
      </c>
      <c r="G23" s="34" t="s">
        <v>51</v>
      </c>
      <c r="H23" s="1"/>
      <c r="I23" s="25" t="s">
        <v>53</v>
      </c>
      <c r="J23" s="1"/>
      <c r="K23" s="25" t="s">
        <v>54</v>
      </c>
      <c r="L23" s="10"/>
      <c r="M23" s="26" t="s">
        <v>55</v>
      </c>
      <c r="N23" s="26"/>
    </row>
    <row r="24" spans="1:14" ht="13.7" customHeight="1" x14ac:dyDescent="0.25">
      <c r="A24" s="31" t="s">
        <v>73</v>
      </c>
      <c r="B24" s="35">
        <f>IF($A$11=" "," ",IF($A$11=1,I24,IF($A$11=2,K24,"err")))</f>
        <v>6.9999999999999999E-4</v>
      </c>
      <c r="C24" s="36">
        <f t="shared" ref="C24:C30" si="0">IF($A$11=" "," ",IF($A$11=1,B24*$A$12/1000,IF($A$11=2,B24*$A$10,"err")))</f>
        <v>1.05</v>
      </c>
      <c r="D24" s="37">
        <f t="shared" ref="D24:D30" si="1">IF($A$11=" "," ",IF($A$11=1,(C24/2000)*8760,IF($A$11=2,(C24/2000)*8760,"err")))</f>
        <v>4.5990000000000011</v>
      </c>
      <c r="E24" s="38">
        <v>0</v>
      </c>
      <c r="F24" s="36">
        <f>C24*((100-E24)/100)</f>
        <v>1.05</v>
      </c>
      <c r="G24" s="39">
        <f t="shared" ref="G24:G30" si="2">IF($A$11=" "," ",IF($A$11=1,(F24/2000)*$F$14,IF($A$11=2,(F24/2000)*$A$14,"err")))</f>
        <v>0.20554500000000001</v>
      </c>
      <c r="H24" s="1"/>
      <c r="I24" s="40">
        <f t="shared" ref="I24:I30" si="3">K24/7000*I$22*1000</f>
        <v>13.702999999999999</v>
      </c>
      <c r="J24" s="41" t="s">
        <v>56</v>
      </c>
      <c r="K24" s="42">
        <v>6.9999999999999999E-4</v>
      </c>
      <c r="L24" s="43" t="s">
        <v>57</v>
      </c>
      <c r="M24" s="26">
        <f t="shared" ref="M24:M30" si="4">K24/7000*1000000</f>
        <v>9.9999999999999992E-2</v>
      </c>
      <c r="N24" s="26" t="s">
        <v>55</v>
      </c>
    </row>
    <row r="25" spans="1:14" ht="13.7" customHeight="1" x14ac:dyDescent="0.25">
      <c r="A25" s="31" t="s">
        <v>58</v>
      </c>
      <c r="B25" s="35">
        <f>IF($A$11=" "," ",IF($A$11=1,I25,IF($A$11=2,K25,"err")))</f>
        <v>5.754E-4</v>
      </c>
      <c r="C25" s="36">
        <f t="shared" si="0"/>
        <v>0.86309999999999998</v>
      </c>
      <c r="D25" s="37">
        <f t="shared" si="1"/>
        <v>3.7803779999999998</v>
      </c>
      <c r="E25" s="38">
        <v>0</v>
      </c>
      <c r="F25" s="36">
        <f t="shared" ref="F25:F30" si="5">C25*((100-E25)/100)</f>
        <v>0.86309999999999998</v>
      </c>
      <c r="G25" s="39">
        <f t="shared" si="2"/>
        <v>0.16895798999999997</v>
      </c>
      <c r="H25" s="1"/>
      <c r="I25" s="40">
        <f>K25/7000*I$22*1000</f>
        <v>11.263865999999998</v>
      </c>
      <c r="J25" s="41" t="s">
        <v>56</v>
      </c>
      <c r="K25" s="42">
        <f>K24*0.822</f>
        <v>5.754E-4</v>
      </c>
      <c r="L25" s="43" t="s">
        <v>57</v>
      </c>
      <c r="M25" s="26">
        <f t="shared" si="4"/>
        <v>8.2199999999999995E-2</v>
      </c>
      <c r="N25" s="26" t="s">
        <v>55</v>
      </c>
    </row>
    <row r="26" spans="1:14" ht="13.7" customHeight="1" x14ac:dyDescent="0.25">
      <c r="A26" s="31" t="s">
        <v>59</v>
      </c>
      <c r="B26" s="35">
        <f>IF($A$11=" "," ",IF($A$11=1,I26,IF($A$11=2,K26,"err")))</f>
        <v>5.5838999999999997E-4</v>
      </c>
      <c r="C26" s="36">
        <f>IF($A$11=" "," ",IF($A$11=1,B26*$A$12/1000,IF($A$11=2,B26*$A$10,"err")))</f>
        <v>0.83758499999999991</v>
      </c>
      <c r="D26" s="37">
        <f>IF($A$11=" "," ",IF($A$11=1,(C26/2000)*8760,IF($A$11=2,(C26/2000)*8760,"err")))</f>
        <v>3.6686223</v>
      </c>
      <c r="E26" s="38">
        <v>0</v>
      </c>
      <c r="F26" s="36">
        <f>C26*((100-E26)/100)</f>
        <v>0.83758499999999991</v>
      </c>
      <c r="G26" s="39">
        <f>IF($A$11=" "," ",IF($A$11=1,(F26/2000)*$F$14,IF($A$11=2,(F26/2000)*$A$14,"err")))</f>
        <v>0.16396324649999997</v>
      </c>
      <c r="H26" s="1"/>
      <c r="I26" s="40">
        <f>K26/7000*I$22*1000</f>
        <v>10.930883099999999</v>
      </c>
      <c r="J26" s="41" t="s">
        <v>56</v>
      </c>
      <c r="K26" s="42">
        <f>K24*0.7977</f>
        <v>5.5838999999999997E-4</v>
      </c>
      <c r="L26" s="43" t="s">
        <v>57</v>
      </c>
      <c r="M26" s="26"/>
      <c r="N26" s="26"/>
    </row>
    <row r="27" spans="1:14" ht="13.7" customHeight="1" x14ac:dyDescent="0.25">
      <c r="A27" s="31" t="s">
        <v>60</v>
      </c>
      <c r="B27" s="35">
        <f>IF($A$11=" ","",IF($A$11=1,I27*A15,IF($A$11=2,K27*A15,"err")))</f>
        <v>4.045E-3</v>
      </c>
      <c r="C27" s="36">
        <f t="shared" si="0"/>
        <v>6.0674999999999999</v>
      </c>
      <c r="D27" s="37">
        <f t="shared" si="1"/>
        <v>26.57565</v>
      </c>
      <c r="E27" s="38">
        <v>0</v>
      </c>
      <c r="F27" s="36">
        <f t="shared" si="5"/>
        <v>6.0674999999999999</v>
      </c>
      <c r="G27" s="39">
        <f t="shared" si="2"/>
        <v>1.1877564642857141</v>
      </c>
      <c r="H27" s="1"/>
      <c r="I27" s="40">
        <f>K27/7000*I$22*1000</f>
        <v>158.36752857142858</v>
      </c>
      <c r="J27" s="41" t="s">
        <v>61</v>
      </c>
      <c r="K27" s="42">
        <v>8.09E-3</v>
      </c>
      <c r="L27" s="43" t="s">
        <v>62</v>
      </c>
      <c r="M27" s="26">
        <f t="shared" si="4"/>
        <v>1.1557142857142857</v>
      </c>
      <c r="N27" s="26" t="s">
        <v>55</v>
      </c>
    </row>
    <row r="28" spans="1:14" ht="13.7" customHeight="1" x14ac:dyDescent="0.25">
      <c r="A28" s="31" t="s">
        <v>63</v>
      </c>
      <c r="B28" s="35">
        <f>IF($A$11=" "," ",IF($A$11=1,I28,IF($A$11=2,K28,"err")))</f>
        <v>2.4E-2</v>
      </c>
      <c r="C28" s="36">
        <f t="shared" si="0"/>
        <v>36</v>
      </c>
      <c r="D28" s="37">
        <f t="shared" si="1"/>
        <v>157.67999999999998</v>
      </c>
      <c r="E28" s="38">
        <v>0</v>
      </c>
      <c r="F28" s="36">
        <f t="shared" si="5"/>
        <v>36</v>
      </c>
      <c r="G28" s="39">
        <f t="shared" si="2"/>
        <v>7.0472571428571413</v>
      </c>
      <c r="H28" s="1"/>
      <c r="I28" s="40">
        <f t="shared" si="3"/>
        <v>469.81714285714287</v>
      </c>
      <c r="J28" s="41" t="s">
        <v>56</v>
      </c>
      <c r="K28" s="42">
        <v>2.4E-2</v>
      </c>
      <c r="L28" s="43" t="s">
        <v>57</v>
      </c>
      <c r="M28" s="26">
        <f t="shared" si="4"/>
        <v>3.4285714285714284</v>
      </c>
      <c r="N28" s="26" t="s">
        <v>55</v>
      </c>
    </row>
    <row r="29" spans="1:14" ht="13.7" customHeight="1" x14ac:dyDescent="0.25">
      <c r="A29" s="31" t="s">
        <v>64</v>
      </c>
      <c r="B29" s="35">
        <f>IF($A$11=" "," ",IF($A$11=1,I29,IF($A$11=2,K29,"err")))</f>
        <v>5.4999999999999997E-3</v>
      </c>
      <c r="C29" s="36">
        <f t="shared" si="0"/>
        <v>8.25</v>
      </c>
      <c r="D29" s="37">
        <f t="shared" si="1"/>
        <v>36.135000000000005</v>
      </c>
      <c r="E29" s="38">
        <v>0</v>
      </c>
      <c r="F29" s="36">
        <f t="shared" si="5"/>
        <v>8.25</v>
      </c>
      <c r="G29" s="39">
        <f t="shared" si="2"/>
        <v>1.6149964285714284</v>
      </c>
      <c r="H29" s="1"/>
      <c r="I29" s="40">
        <f t="shared" si="3"/>
        <v>107.66642857142855</v>
      </c>
      <c r="J29" s="41" t="s">
        <v>56</v>
      </c>
      <c r="K29" s="42">
        <v>5.4999999999999997E-3</v>
      </c>
      <c r="L29" s="43" t="s">
        <v>57</v>
      </c>
      <c r="M29" s="26">
        <f t="shared" si="4"/>
        <v>0.78571428571428559</v>
      </c>
      <c r="N29" s="26" t="s">
        <v>55</v>
      </c>
    </row>
    <row r="30" spans="1:14" ht="13.7" customHeight="1" x14ac:dyDescent="0.25">
      <c r="A30" s="31" t="s">
        <v>65</v>
      </c>
      <c r="B30" s="35">
        <f>IF($A$11=" "," ",IF($A$11=1,I30,IF($A$11=2,K30,"err")))</f>
        <v>6.4155000000000006E-4</v>
      </c>
      <c r="C30" s="36">
        <f t="shared" si="0"/>
        <v>0.9623250000000001</v>
      </c>
      <c r="D30" s="37">
        <f t="shared" si="1"/>
        <v>4.2149835000000007</v>
      </c>
      <c r="E30" s="38">
        <v>0</v>
      </c>
      <c r="F30" s="36">
        <f t="shared" si="5"/>
        <v>0.9623250000000001</v>
      </c>
      <c r="G30" s="39">
        <f t="shared" si="2"/>
        <v>0.18838199250000001</v>
      </c>
      <c r="H30" s="1"/>
      <c r="I30" s="44">
        <f t="shared" si="3"/>
        <v>12.558799500000001</v>
      </c>
      <c r="J30" s="45" t="s">
        <v>56</v>
      </c>
      <c r="K30" s="46">
        <f>0.000705*0.91</f>
        <v>6.4155000000000006E-4</v>
      </c>
      <c r="L30" s="47" t="s">
        <v>57</v>
      </c>
      <c r="M30" s="26">
        <f t="shared" si="4"/>
        <v>9.1650000000000009E-2</v>
      </c>
      <c r="N30" s="26" t="s">
        <v>55</v>
      </c>
    </row>
    <row r="31" spans="1:14" ht="15.95" customHeight="1" x14ac:dyDescent="0.25">
      <c r="A31" s="59" t="s">
        <v>66</v>
      </c>
      <c r="B31" s="59"/>
      <c r="C31" s="59"/>
      <c r="D31" s="59"/>
      <c r="E31" s="59"/>
      <c r="F31" s="59"/>
      <c r="G31" s="59"/>
    </row>
    <row r="32" spans="1:14" ht="15.75" x14ac:dyDescent="0.25">
      <c r="A32" s="60" t="s">
        <v>67</v>
      </c>
      <c r="B32" s="60"/>
      <c r="C32" s="60"/>
      <c r="D32" s="60"/>
      <c r="E32" s="60"/>
      <c r="F32" s="60"/>
      <c r="G32" s="60"/>
      <c r="H32" s="1"/>
      <c r="I32" s="5" t="s">
        <v>68</v>
      </c>
    </row>
    <row r="33" spans="1:16" x14ac:dyDescent="0.25">
      <c r="A33" s="1"/>
      <c r="B33" s="1"/>
      <c r="C33" s="1"/>
      <c r="D33" s="1"/>
      <c r="E33" s="1"/>
      <c r="F33" s="1"/>
      <c r="G33" s="1"/>
      <c r="H33" s="1"/>
      <c r="I33" s="20" t="s">
        <v>40</v>
      </c>
      <c r="J33" s="8"/>
      <c r="K33" s="20" t="s">
        <v>41</v>
      </c>
      <c r="L33" s="8"/>
      <c r="M33" s="1"/>
      <c r="N33" s="1"/>
    </row>
    <row r="34" spans="1:16" ht="15.75" x14ac:dyDescent="0.25">
      <c r="A34" s="5" t="s">
        <v>69</v>
      </c>
      <c r="B34" s="1"/>
      <c r="C34" s="1"/>
      <c r="D34" s="1"/>
      <c r="E34" s="1"/>
      <c r="F34" s="1"/>
      <c r="G34" s="1"/>
      <c r="H34" s="1"/>
      <c r="I34" s="24" t="s">
        <v>43</v>
      </c>
      <c r="J34" s="15"/>
      <c r="K34" s="24" t="s">
        <v>43</v>
      </c>
      <c r="L34" s="15"/>
      <c r="M34" s="1"/>
      <c r="N34" s="1"/>
    </row>
    <row r="35" spans="1:16" x14ac:dyDescent="0.25">
      <c r="A35" s="42"/>
      <c r="B35" s="41"/>
      <c r="C35" s="42"/>
      <c r="D35" s="41" t="s">
        <v>25</v>
      </c>
      <c r="E35" s="43"/>
      <c r="F35" s="1"/>
      <c r="G35" s="1"/>
      <c r="H35" s="1"/>
      <c r="I35" s="25"/>
      <c r="J35" s="10"/>
      <c r="K35" s="25"/>
      <c r="L35" s="10"/>
      <c r="M35" s="1"/>
      <c r="N35" s="1"/>
    </row>
    <row r="36" spans="1:16" x14ac:dyDescent="0.25">
      <c r="A36" s="25"/>
      <c r="B36" s="1"/>
      <c r="C36" s="25" t="s">
        <v>70</v>
      </c>
      <c r="D36" s="48" t="s">
        <v>71</v>
      </c>
      <c r="E36" s="27" t="s">
        <v>72</v>
      </c>
      <c r="F36" s="1"/>
      <c r="G36" s="1"/>
      <c r="H36" s="1"/>
      <c r="I36" s="30">
        <f>19300*7.1</f>
        <v>137030</v>
      </c>
      <c r="J36" s="10" t="s">
        <v>48</v>
      </c>
      <c r="K36" s="30">
        <f>I36</f>
        <v>137030</v>
      </c>
      <c r="L36" s="10" t="s">
        <v>48</v>
      </c>
      <c r="M36" s="1"/>
      <c r="N36" s="1"/>
    </row>
    <row r="37" spans="1:16" x14ac:dyDescent="0.25">
      <c r="A37" s="49" t="s">
        <v>49</v>
      </c>
      <c r="B37" s="18"/>
      <c r="C37" s="50" t="str">
        <f>IF($A$11=" "," ",IF($A$11=1,I37,IF($A$11=2,K37,"err")))</f>
        <v>(lb/hp-hr)</v>
      </c>
      <c r="D37" s="33" t="s">
        <v>0</v>
      </c>
      <c r="E37" s="34" t="s">
        <v>1</v>
      </c>
      <c r="F37" s="1"/>
      <c r="G37" s="1"/>
      <c r="H37" s="1"/>
      <c r="I37" s="49" t="s">
        <v>2</v>
      </c>
      <c r="J37" s="18"/>
      <c r="K37" s="25" t="s">
        <v>54</v>
      </c>
      <c r="L37" s="10"/>
      <c r="M37" s="1"/>
      <c r="N37" s="1"/>
    </row>
    <row r="38" spans="1:16" ht="15.75" x14ac:dyDescent="0.25">
      <c r="A38" s="49" t="s">
        <v>3</v>
      </c>
      <c r="B38" s="17"/>
      <c r="C38" s="51">
        <f>IF($A$11=" "," ",IF($A$11=1,I38,IF($A$11=2,K38,"err")))</f>
        <v>5.5229999999999999E-7</v>
      </c>
      <c r="D38" s="52">
        <f>IF($A$11=" "," ",IF($A$11=1,C38*$A$12*$I$36/1000000,IF($A$11=2,C38*$A$10,"err")))</f>
        <v>8.2845E-4</v>
      </c>
      <c r="E38" s="53">
        <f>IF($A$11=" "," ",IF($A$11=1,(D38/2000)*$F$14,IF($A$11=2,(D38/2000)*$A$14,"err")))</f>
        <v>1.6217500499999998E-4</v>
      </c>
      <c r="F38" s="1"/>
      <c r="G38" s="1"/>
      <c r="H38" s="1"/>
      <c r="I38" s="54">
        <v>7.8899999999999993E-5</v>
      </c>
      <c r="J38" s="43" t="s">
        <v>2</v>
      </c>
      <c r="K38" s="54">
        <f>I38/1000000*7000</f>
        <v>5.5229999999999999E-7</v>
      </c>
      <c r="L38" s="43" t="s">
        <v>4</v>
      </c>
      <c r="M38" s="55"/>
    </row>
    <row r="39" spans="1:16" ht="15.75" x14ac:dyDescent="0.25">
      <c r="A39" s="49" t="s">
        <v>5</v>
      </c>
      <c r="B39" s="17"/>
      <c r="C39" s="51">
        <f>IF($A$11=" "," ",IF($A$11=1,I39,IF($A$11=2,K39,"err")))</f>
        <v>1.4839999999999999E-6</v>
      </c>
      <c r="D39" s="52">
        <f>IF($A$11=" "," ",IF($A$11=1,C39*$A$12*$I$36/1000000,IF($A$11=2,C39*$A$10,"err")))</f>
        <v>2.2259999999999997E-3</v>
      </c>
      <c r="E39" s="53">
        <f>IF($A$11=" "," ",IF($A$11=1,(D39/2000)*$F$14,IF($A$11=2,(D39/2000)*$A$14,"err")))</f>
        <v>4.3575539999999988E-4</v>
      </c>
      <c r="F39" s="1"/>
      <c r="G39" s="1"/>
      <c r="H39" s="1"/>
      <c r="I39" s="56">
        <v>2.12E-4</v>
      </c>
      <c r="J39" s="10" t="s">
        <v>2</v>
      </c>
      <c r="K39" s="56">
        <f>I39/1000000*7000</f>
        <v>1.4839999999999999E-6</v>
      </c>
      <c r="L39" s="10" t="s">
        <v>4</v>
      </c>
      <c r="M39" s="55"/>
    </row>
    <row r="40" spans="1:16" ht="15.75" x14ac:dyDescent="0.25">
      <c r="A40" s="49" t="s">
        <v>6</v>
      </c>
      <c r="B40" s="17"/>
      <c r="C40" s="51">
        <f>IF($A$11=" "," ",IF($A$11=1,I40,IF($A$11=2,K40,"err")))</f>
        <v>1.099E-5</v>
      </c>
      <c r="D40" s="52">
        <f>IF($A$11=" "," ",IF($A$11=1,C40*$A$12*$I$36/1000000,IF($A$11=2,C40*$A$10,"err")))</f>
        <v>1.6485E-2</v>
      </c>
      <c r="E40" s="53">
        <f>IF($A$11=" "," ",IF($A$11=1,(D40/2000)*$F$14,IF($A$11=2,(D40/2000)*$A$14,"err")))</f>
        <v>3.2270564999999996E-3</v>
      </c>
      <c r="F40" s="1"/>
      <c r="G40" s="1"/>
      <c r="H40" s="1"/>
      <c r="I40" s="57">
        <v>1.57E-3</v>
      </c>
      <c r="J40" s="18" t="s">
        <v>2</v>
      </c>
      <c r="K40" s="57">
        <f>I40/1000000*7000</f>
        <v>1.099E-5</v>
      </c>
      <c r="L40" s="18" t="s">
        <v>4</v>
      </c>
      <c r="M40" s="55"/>
    </row>
    <row r="41" spans="1:16" x14ac:dyDescent="0.25">
      <c r="A41" s="61" t="s">
        <v>7</v>
      </c>
      <c r="B41" s="61"/>
      <c r="C41" s="61"/>
      <c r="D41" s="61"/>
      <c r="E41" s="61"/>
      <c r="F41" s="61"/>
      <c r="G41" s="61"/>
      <c r="H41" s="1"/>
      <c r="I41" s="55"/>
      <c r="J41" s="1"/>
      <c r="K41" s="55"/>
      <c r="L41" s="1"/>
      <c r="M41" s="55"/>
    </row>
    <row r="42" spans="1:16" x14ac:dyDescent="0.25">
      <c r="A42" s="1"/>
    </row>
    <row r="43" spans="1:16" x14ac:dyDescent="0.25">
      <c r="A43" s="62" t="s">
        <v>8</v>
      </c>
      <c r="B43" s="63" t="s">
        <v>9</v>
      </c>
      <c r="C43" s="63"/>
      <c r="D43" s="63"/>
      <c r="E43" s="63"/>
      <c r="F43" s="63"/>
      <c r="G43" s="63"/>
      <c r="H43" s="63"/>
      <c r="I43" s="63"/>
      <c r="J43" s="63"/>
      <c r="K43" s="63"/>
      <c r="L43" s="63"/>
      <c r="M43" s="1"/>
      <c r="N43" s="58"/>
      <c r="O43" s="1"/>
      <c r="P43" s="58"/>
    </row>
    <row r="44" spans="1:16" x14ac:dyDescent="0.25">
      <c r="A44" s="62"/>
      <c r="B44" s="63"/>
      <c r="C44" s="63"/>
      <c r="D44" s="63"/>
      <c r="E44" s="63"/>
      <c r="F44" s="63"/>
      <c r="G44" s="63"/>
      <c r="H44" s="63"/>
      <c r="I44" s="63"/>
      <c r="J44" s="63"/>
      <c r="K44" s="63"/>
      <c r="L44" s="63"/>
    </row>
    <row r="46" spans="1:16" x14ac:dyDescent="0.25">
      <c r="A46" s="2" t="s">
        <v>76</v>
      </c>
      <c r="D46" s="2" t="s">
        <v>10</v>
      </c>
    </row>
    <row r="47" spans="1:16" x14ac:dyDescent="0.25">
      <c r="D47" s="2" t="s">
        <v>75</v>
      </c>
    </row>
    <row r="48" spans="1:16" x14ac:dyDescent="0.25">
      <c r="D48" s="2" t="s">
        <v>11</v>
      </c>
    </row>
    <row r="49" spans="4:4" x14ac:dyDescent="0.25">
      <c r="D49" s="2" t="s">
        <v>12</v>
      </c>
    </row>
    <row r="50" spans="4:4" x14ac:dyDescent="0.25">
      <c r="D50" s="2" t="s">
        <v>13</v>
      </c>
    </row>
    <row r="51" spans="4:4" x14ac:dyDescent="0.25">
      <c r="D51" s="2" t="s">
        <v>14</v>
      </c>
    </row>
    <row r="52" spans="4:4" x14ac:dyDescent="0.25">
      <c r="D52" s="2" t="s">
        <v>15</v>
      </c>
    </row>
  </sheetData>
  <mergeCells count="28">
    <mergeCell ref="I8:O8"/>
    <mergeCell ref="A1:B1"/>
    <mergeCell ref="C1:G1"/>
    <mergeCell ref="I1:O6"/>
    <mergeCell ref="A2:B2"/>
    <mergeCell ref="C2:G2"/>
    <mergeCell ref="A3:B3"/>
    <mergeCell ref="C3:G3"/>
    <mergeCell ref="A4:B4"/>
    <mergeCell ref="C4:G4"/>
    <mergeCell ref="B14:E14"/>
    <mergeCell ref="B15:E15"/>
    <mergeCell ref="A5:B5"/>
    <mergeCell ref="C5:E5"/>
    <mergeCell ref="A6:B6"/>
    <mergeCell ref="C6:E6"/>
    <mergeCell ref="A7:B7"/>
    <mergeCell ref="C7:G7"/>
    <mergeCell ref="A31:G31"/>
    <mergeCell ref="A32:G32"/>
    <mergeCell ref="A41:G41"/>
    <mergeCell ref="A43:A44"/>
    <mergeCell ref="B43:L44"/>
    <mergeCell ref="I9:O16"/>
    <mergeCell ref="B10:E10"/>
    <mergeCell ref="B11:E11"/>
    <mergeCell ref="B12:E12"/>
    <mergeCell ref="B13:E13"/>
  </mergeCells>
  <pageMargins left="0.5" right="0.5" top="0.5" bottom="0.5" header="0.5" footer="0.5"/>
  <pageSetup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Engines</vt:lpstr>
      <vt:lpstr>Engines!Print_Area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510-3</dc:title>
  <dc:creator>Armistead, Allen (DEQ)</dc:creator>
  <cp:keywords>spreadsheet, stone quarry, non-metallic mineral process</cp:keywords>
  <dc:description>Updated September 6, 2018</dc:description>
  <cp:lastModifiedBy>Susan Tripp</cp:lastModifiedBy>
  <cp:lastPrinted>2016-01-27T17:54:19Z</cp:lastPrinted>
  <dcterms:created xsi:type="dcterms:W3CDTF">2000-02-23T16:53:33Z</dcterms:created>
  <dcterms:modified xsi:type="dcterms:W3CDTF">2018-12-28T17:28:32Z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